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11. NOVIEMBRE 2023/"/>
    </mc:Choice>
  </mc:AlternateContent>
  <xr:revisionPtr revIDLastSave="0" documentId="8_{A71E3210-7A1A-495C-B3FE-DF702D7AE00C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C29" i="10"/>
  <c r="C27" i="10"/>
  <c r="B26" i="10"/>
  <c r="C26" i="10"/>
  <c r="C25" i="10"/>
  <c r="D25" i="10" s="1"/>
  <c r="C23" i="10"/>
  <c r="C22" i="10"/>
  <c r="C21" i="10"/>
  <c r="C18" i="10"/>
  <c r="B18" i="10"/>
  <c r="B12" i="10"/>
  <c r="C17" i="10"/>
  <c r="D17" i="10" s="1"/>
  <c r="D29" i="10"/>
  <c r="C6" i="10"/>
  <c r="C5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J77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I77" i="10" s="1"/>
  <c r="H69" i="10"/>
  <c r="H68" i="10" s="1"/>
  <c r="H77" i="10" s="1"/>
  <c r="F69" i="10"/>
  <c r="E69" i="10"/>
  <c r="C69" i="10"/>
  <c r="B69" i="10"/>
  <c r="L68" i="10"/>
  <c r="L77" i="10" s="1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G77" i="10" s="1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F58" i="10"/>
  <c r="N57" i="10"/>
  <c r="N56" i="10" s="1"/>
  <c r="K57" i="10"/>
  <c r="F57" i="10"/>
  <c r="R57" i="10" s="1"/>
  <c r="R56" i="10" s="1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F54" i="10"/>
  <c r="R54" i="10" s="1"/>
  <c r="D54" i="10"/>
  <c r="R53" i="10"/>
  <c r="D53" i="10"/>
  <c r="R52" i="10"/>
  <c r="D52" i="10"/>
  <c r="R51" i="10"/>
  <c r="F51" i="10"/>
  <c r="D51" i="10"/>
  <c r="F50" i="10"/>
  <c r="R50" i="10" s="1"/>
  <c r="D50" i="10"/>
  <c r="R49" i="10"/>
  <c r="D49" i="10"/>
  <c r="R48" i="10"/>
  <c r="D48" i="10"/>
  <c r="M47" i="10"/>
  <c r="M46" i="10" s="1"/>
  <c r="K47" i="10"/>
  <c r="F47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N29" i="10"/>
  <c r="M29" i="10"/>
  <c r="M20" i="10" s="1"/>
  <c r="K29" i="10"/>
  <c r="F29" i="10"/>
  <c r="R28" i="10"/>
  <c r="D28" i="10"/>
  <c r="N27" i="10"/>
  <c r="K27" i="10"/>
  <c r="F27" i="10"/>
  <c r="R27" i="10" s="1"/>
  <c r="D27" i="10"/>
  <c r="N26" i="10"/>
  <c r="R26" i="10" s="1"/>
  <c r="K26" i="10"/>
  <c r="F26" i="10"/>
  <c r="D26" i="10"/>
  <c r="N25" i="10"/>
  <c r="K25" i="10"/>
  <c r="R25" i="10" s="1"/>
  <c r="F25" i="10"/>
  <c r="N24" i="10"/>
  <c r="K24" i="10"/>
  <c r="F24" i="10"/>
  <c r="D24" i="10"/>
  <c r="R23" i="10"/>
  <c r="N23" i="10"/>
  <c r="K23" i="10"/>
  <c r="F23" i="10"/>
  <c r="D23" i="10"/>
  <c r="K22" i="10"/>
  <c r="F22" i="10"/>
  <c r="R22" i="10" s="1"/>
  <c r="D22" i="10"/>
  <c r="N21" i="10"/>
  <c r="K21" i="10"/>
  <c r="F21" i="10"/>
  <c r="F20" i="10" s="1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N18" i="10"/>
  <c r="K18" i="10"/>
  <c r="F18" i="10"/>
  <c r="C10" i="10"/>
  <c r="C77" i="10" s="1"/>
  <c r="N17" i="10"/>
  <c r="K17" i="10"/>
  <c r="F17" i="10"/>
  <c r="N16" i="10"/>
  <c r="K16" i="10"/>
  <c r="F16" i="10"/>
  <c r="D16" i="10"/>
  <c r="K15" i="10"/>
  <c r="F15" i="10"/>
  <c r="R15" i="10" s="1"/>
  <c r="D15" i="10"/>
  <c r="N14" i="10"/>
  <c r="R14" i="10" s="1"/>
  <c r="K14" i="10"/>
  <c r="F14" i="10"/>
  <c r="D14" i="10"/>
  <c r="K13" i="10"/>
  <c r="F13" i="10"/>
  <c r="R13" i="10" s="1"/>
  <c r="D13" i="10"/>
  <c r="N12" i="10"/>
  <c r="R12" i="10" s="1"/>
  <c r="K12" i="10"/>
  <c r="F12" i="10"/>
  <c r="D12" i="10"/>
  <c r="N11" i="10"/>
  <c r="K11" i="10"/>
  <c r="K10" i="10" s="1"/>
  <c r="F11" i="10"/>
  <c r="R11" i="10" s="1"/>
  <c r="Q10" i="10"/>
  <c r="P10" i="10"/>
  <c r="O10" i="10"/>
  <c r="M10" i="10"/>
  <c r="L10" i="10"/>
  <c r="J10" i="10"/>
  <c r="I10" i="10"/>
  <c r="H10" i="10"/>
  <c r="G10" i="10"/>
  <c r="E10" i="10"/>
  <c r="N9" i="10"/>
  <c r="K9" i="10"/>
  <c r="F9" i="10"/>
  <c r="D9" i="10"/>
  <c r="R8" i="10"/>
  <c r="K8" i="10"/>
  <c r="F8" i="10"/>
  <c r="D8" i="10"/>
  <c r="N7" i="10"/>
  <c r="K7" i="10"/>
  <c r="K4" i="10" s="1"/>
  <c r="F7" i="10"/>
  <c r="R7" i="10" s="1"/>
  <c r="D7" i="10"/>
  <c r="N6" i="10"/>
  <c r="K6" i="10"/>
  <c r="F6" i="10"/>
  <c r="D6" i="10"/>
  <c r="N5" i="10"/>
  <c r="N4" i="10" s="1"/>
  <c r="K5" i="10"/>
  <c r="F5" i="10"/>
  <c r="F4" i="10" s="1"/>
  <c r="Q4" i="10"/>
  <c r="P4" i="10"/>
  <c r="O4" i="10"/>
  <c r="M4" i="10"/>
  <c r="L4" i="10"/>
  <c r="J4" i="10"/>
  <c r="I4" i="10"/>
  <c r="H4" i="10"/>
  <c r="G4" i="10"/>
  <c r="E4" i="10"/>
  <c r="B4" i="10"/>
  <c r="R18" i="10" l="1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K77" i="10"/>
  <c r="N77" i="10"/>
  <c r="D18" i="10"/>
  <c r="F10" i="10"/>
  <c r="F46" i="10"/>
  <c r="F77" i="10" s="1"/>
  <c r="C4" i="10"/>
  <c r="F56" i="10"/>
  <c r="R21" i="10"/>
  <c r="R5" i="10"/>
  <c r="R4" i="10" s="1"/>
  <c r="K20" i="10"/>
  <c r="R20" i="10" l="1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<sst xmlns="http://schemas.openxmlformats.org/spreadsheetml/2006/main" count="102" uniqueCount="102">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</sst>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file:///C:\Users\Mary.flores\Desktop\PRESUPUESTO%202023\EJECUCION%20PRESP%20Julio%202023\HOJA%20DE%20TRABAJO%20Junio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9%20SEPT%202023\HOJA%20DE%20TRABAJO%20Sept%202023.xlsm" TargetMode="External"/><Relationship Id="rId1" Type="http://schemas.openxmlformats.org/officeDocument/2006/relationships/externalLinkPath" Target="file:///C:\Users\mary.flores\Desktop\PRESUPUESTO%202023\EJECUCION%20PRESP%209%20SEPT%202023\HOJA%20DE%20TRABAJO%20Sept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8%20Agosto%202023\HOJA%20DE%20TRABAJO%20Agosto%202023.xlsm" TargetMode="External"/><Relationship Id="rId1" Type="http://schemas.openxmlformats.org/officeDocument/2006/relationships/externalLinkPath" Target="file:///C:\Users\mary.flores\Desktop\PRESUPUESTO%202023\EJECUCION%20PRESP%208%20Agosto%202023\HOJA%20DE%20TRABAJO%20Agost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Combustibles"/>
      <sheetName val="Calculo TSS"/>
      <sheetName val="Calculo Nomina "/>
    </sheetNames>
    <sheetDataSet>
      <sheetData sheetId="0">
        <row r="6">
          <cell r="I6">
            <v>4677048.62</v>
          </cell>
        </row>
        <row r="17">
          <cell r="I17">
            <v>650201.61</v>
          </cell>
        </row>
        <row r="24">
          <cell r="I24">
            <v>0</v>
          </cell>
        </row>
        <row r="29">
          <cell r="I29">
            <v>729955.18</v>
          </cell>
        </row>
        <row r="32">
          <cell r="I32">
            <v>171219.74</v>
          </cell>
        </row>
        <row r="39">
          <cell r="I39">
            <v>520.03</v>
          </cell>
        </row>
        <row r="43">
          <cell r="I43">
            <v>2174.96</v>
          </cell>
        </row>
        <row r="53">
          <cell r="I53">
            <v>86288.07</v>
          </cell>
        </row>
        <row r="56">
          <cell r="I56">
            <v>66073.05</v>
          </cell>
        </row>
        <row r="67">
          <cell r="I67">
            <v>1729022.02</v>
          </cell>
        </row>
        <row r="82">
          <cell r="I82">
            <v>37150.019999999997</v>
          </cell>
        </row>
        <row r="90">
          <cell r="I90">
            <v>1080.51</v>
          </cell>
        </row>
        <row r="95">
          <cell r="I95">
            <v>2268.64</v>
          </cell>
        </row>
        <row r="96">
          <cell r="I96">
            <v>2634.85</v>
          </cell>
        </row>
        <row r="101">
          <cell r="I101">
            <v>14039.630000000001</v>
          </cell>
        </row>
        <row r="110">
          <cell r="I110">
            <v>318712.94999999995</v>
          </cell>
        </row>
        <row r="119">
          <cell r="I119">
            <v>10129.66</v>
          </cell>
        </row>
        <row r="144">
          <cell r="I144">
            <v>698513.33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Sheet1"/>
      <sheetName val="Combustibles"/>
      <sheetName val="Calculo TSS"/>
      <sheetName val="Calculo Nomina "/>
      <sheetName val="MARY"/>
      <sheetName val="Resumen ISR"/>
      <sheetName val="Hoja1"/>
      <sheetName val="VOLEIBOL"/>
    </sheetNames>
    <sheetDataSet>
      <sheetData sheetId="0">
        <row r="119">
          <cell r="I119">
            <v>106997.20999999999</v>
          </cell>
        </row>
        <row r="126">
          <cell r="I126">
            <v>386218.45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showWhiteSpace="0" view="pageLayout" topLeftCell="D72" zoomScale="70" zoomScaleNormal="70" zoomScaleSheetLayoutView="40" zoomScalePageLayoutView="70" workbookViewId="0">
      <selection activeCell="S7" sqref="S7"/>
    </sheetView>
  </sheetViews>
  <sheetFormatPr baseColWidth="10" defaultColWidth="9.140625" defaultRowHeight="16.5" x14ac:dyDescent="0.3"/>
  <cols>
    <col min="1" max="1" width="72.7109375" style="4" customWidth="1"/>
    <col min="2" max="2" width="21.5703125" style="12" customWidth="1"/>
    <col min="3" max="3" width="19.28515625" style="4" customWidth="1"/>
    <col min="4" max="4" width="24.85546875" style="4" customWidth="1"/>
    <col min="5" max="5" width="21.5703125" style="12" hidden="1" customWidth="1"/>
    <col min="6" max="7" width="18.28515625" style="4" customWidth="1"/>
    <col min="8" max="15" width="17.42578125" style="4" customWidth="1"/>
    <col min="16" max="16" width="18.28515625" style="4" bestFit="1" customWidth="1"/>
    <col min="17" max="17" width="17.42578125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si="0"/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9365808.6599999983</v>
      </c>
      <c r="M4" s="21">
        <f t="shared" si="0"/>
        <v>6244171.7000000002</v>
      </c>
      <c r="N4" s="21">
        <f t="shared" si="0"/>
        <v>6057205.4100000001</v>
      </c>
      <c r="O4" s="21">
        <f t="shared" si="0"/>
        <v>9794241.5700000003</v>
      </c>
      <c r="P4" s="21">
        <f t="shared" si="0"/>
        <v>5818726.75</v>
      </c>
      <c r="Q4" s="21">
        <f t="shared" si="0"/>
        <v>0</v>
      </c>
      <c r="R4" s="21">
        <f t="shared" si="0"/>
        <v>77253719.449999988</v>
      </c>
      <c r="U4" s="7"/>
    </row>
    <row r="5" spans="1:30" ht="30.75" customHeight="1" x14ac:dyDescent="0.3">
      <c r="A5" s="16" t="s">
        <v>2</v>
      </c>
      <c r="B5" s="22">
        <v>64324000</v>
      </c>
      <c r="C5" s="22">
        <f>350000-1550000</f>
        <v>-1200000</v>
      </c>
      <c r="D5" s="22">
        <f>+Table4232[[#This Row],[Columna1]]+Table4232[[#This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>
        <v>4619908</v>
      </c>
      <c r="M5" s="20">
        <v>4466962.55</v>
      </c>
      <c r="N5" s="20">
        <f>+'[3]HOJA DE TRABAJO Ajustado'!$I$6</f>
        <v>4677048.62</v>
      </c>
      <c r="O5" s="20">
        <v>4515298.78</v>
      </c>
      <c r="P5" s="20">
        <v>4439133.57</v>
      </c>
      <c r="Q5" s="20"/>
      <c r="R5" s="21">
        <f>SUM(Table4232[[#This Row],[Gasto devengado]:[Column11]])</f>
        <v>49108457.559999995</v>
      </c>
    </row>
    <row r="6" spans="1:30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+Table4232[[#This Row],[Columna1]]+Table4232[[#This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>
        <v>701250</v>
      </c>
      <c r="M6" s="20">
        <v>669250</v>
      </c>
      <c r="N6" s="20">
        <f>+'[3]HOJA DE TRABAJO Ajustado'!$I$17</f>
        <v>650201.61</v>
      </c>
      <c r="O6" s="20">
        <v>4171686.61</v>
      </c>
      <c r="P6" s="20">
        <v>642850</v>
      </c>
      <c r="Q6" s="20"/>
      <c r="R6" s="21">
        <f>SUM(Table4232[[#This Row],[Gasto devengado]:[Column11]])</f>
        <v>15052891.16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>
        <v>147300</v>
      </c>
      <c r="M7" s="20">
        <v>375000</v>
      </c>
      <c r="N7" s="20">
        <f>+'[3]HOJA DE TRABAJO Ajustado'!$I$24</f>
        <v>0</v>
      </c>
      <c r="O7" s="20">
        <v>375000</v>
      </c>
      <c r="P7" s="20"/>
      <c r="Q7" s="20"/>
      <c r="R7" s="21">
        <f>SUM(Table4232[[#This Row],[Gasto devengado]:[Column11]])</f>
        <v>1344595</v>
      </c>
    </row>
    <row r="8" spans="1:30" ht="30.75" customHeight="1" x14ac:dyDescent="0.3">
      <c r="A8" s="16" t="s">
        <v>4</v>
      </c>
      <c r="B8" s="22">
        <v>7000000</v>
      </c>
      <c r="C8" s="22">
        <v>-1000000</v>
      </c>
      <c r="D8" s="22">
        <f>+Table4232[[#This Row],[Columna1]]+Table4232[[#This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>
        <v>3164480.88</v>
      </c>
      <c r="M8" s="20"/>
      <c r="N8" s="20"/>
      <c r="O8" s="20"/>
      <c r="P8" s="20"/>
      <c r="Q8" s="20"/>
      <c r="R8" s="21">
        <f>SUM(Table4232[[#This Row],[Gasto devengado]:[Column11]])</f>
        <v>3209480.88</v>
      </c>
    </row>
    <row r="9" spans="1:30" ht="30.75" customHeight="1" x14ac:dyDescent="0.3">
      <c r="A9" s="16" t="s">
        <v>5</v>
      </c>
      <c r="B9" s="22">
        <v>8177400</v>
      </c>
      <c r="C9" s="22">
        <v>1210000</v>
      </c>
      <c r="D9" s="22">
        <f>+Table4232[[#This Row],[Columna1]]+Table4232[[#This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>
        <v>732869.77999999991</v>
      </c>
      <c r="M9" s="20">
        <v>732959.15</v>
      </c>
      <c r="N9" s="20">
        <f>+'[3]HOJA DE TRABAJO Ajustado'!$I$29</f>
        <v>729955.18</v>
      </c>
      <c r="O9" s="20">
        <v>732256.18</v>
      </c>
      <c r="P9" s="20">
        <v>736743.18</v>
      </c>
      <c r="Q9" s="20"/>
      <c r="R9" s="21">
        <f>SUM(Table4232[[#This Row],[Gasto devengado]:[Column11]])</f>
        <v>8538294.8499999996</v>
      </c>
    </row>
    <row r="10" spans="1:30" ht="30.75" customHeight="1" x14ac:dyDescent="0.3">
      <c r="A10" s="15" t="s">
        <v>6</v>
      </c>
      <c r="B10" s="21">
        <f t="shared" ref="B10:R10" si="1">SUM(B11:B19)</f>
        <v>35008356</v>
      </c>
      <c r="C10" s="21">
        <f t="shared" si="1"/>
        <v>9970000</v>
      </c>
      <c r="D10" s="21">
        <f t="shared" si="1"/>
        <v>44978356</v>
      </c>
      <c r="E10" s="21">
        <f t="shared" si="1"/>
        <v>0</v>
      </c>
      <c r="F10" s="21">
        <f t="shared" si="1"/>
        <v>4476886.6000000006</v>
      </c>
      <c r="G10" s="21">
        <f>SUM(G11:G19)</f>
        <v>7524783.9299999997</v>
      </c>
      <c r="H10" s="21">
        <f t="shared" si="1"/>
        <v>2683932.83</v>
      </c>
      <c r="I10" s="21">
        <f t="shared" si="1"/>
        <v>1844941.2100000002</v>
      </c>
      <c r="J10" s="21">
        <f t="shared" si="1"/>
        <v>3391956.26</v>
      </c>
      <c r="K10" s="21">
        <f t="shared" si="1"/>
        <v>3146765.42</v>
      </c>
      <c r="L10" s="21">
        <f t="shared" si="1"/>
        <v>2393698.14</v>
      </c>
      <c r="M10" s="21">
        <f t="shared" si="1"/>
        <v>3313886.3</v>
      </c>
      <c r="N10" s="21">
        <f t="shared" si="1"/>
        <v>2055297.87</v>
      </c>
      <c r="O10" s="21">
        <f t="shared" si="1"/>
        <v>2822143.7399999998</v>
      </c>
      <c r="P10" s="21">
        <f t="shared" si="1"/>
        <v>3095188.66</v>
      </c>
      <c r="Q10" s="21">
        <f t="shared" si="1"/>
        <v>0</v>
      </c>
      <c r="R10" s="21">
        <f t="shared" si="1"/>
        <v>36749480.960000001</v>
      </c>
    </row>
    <row r="11" spans="1:30" ht="30.75" customHeight="1" x14ac:dyDescent="0.3">
      <c r="A11" s="16" t="s">
        <v>7</v>
      </c>
      <c r="B11" s="22">
        <f>2471864-Table4232[[#This Row],[Presupuesto Modificado]]</f>
        <v>1901864</v>
      </c>
      <c r="C11" s="22">
        <v>570000</v>
      </c>
      <c r="D11" s="22">
        <f>+Table4232[[#This Row],[Columna1]]+Table4232[[#This Row],[Presupuesto Modificado]]</f>
        <v>2471864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>
        <v>159019.96000000002</v>
      </c>
      <c r="M11" s="20">
        <v>236789.72999999998</v>
      </c>
      <c r="N11" s="20">
        <f>+'[3]HOJA DE TRABAJO Ajustado'!$I$32</f>
        <v>171219.74</v>
      </c>
      <c r="O11" s="20">
        <v>195501.36</v>
      </c>
      <c r="P11" s="20">
        <v>207090.68</v>
      </c>
      <c r="Q11" s="20"/>
      <c r="R11" s="21">
        <f>SUM(Table4232[[#This Row],[Gasto devengado]:[Column11]])</f>
        <v>2116157.63</v>
      </c>
    </row>
    <row r="12" spans="1:30" ht="30.75" customHeight="1" x14ac:dyDescent="0.3">
      <c r="A12" s="16" t="s">
        <v>8</v>
      </c>
      <c r="B12" s="22">
        <f>170000+150000</f>
        <v>320000</v>
      </c>
      <c r="C12" s="22">
        <v>-80000</v>
      </c>
      <c r="D12" s="22">
        <f>+Table4232[[#This Row],[Columna1]]+Table4232[[#This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>
        <v>408.98</v>
      </c>
      <c r="M12" s="20"/>
      <c r="N12" s="20">
        <f>+'[3]HOJA DE TRABAJO Ajustado'!$I$39</f>
        <v>520.03</v>
      </c>
      <c r="O12" s="20">
        <v>72.03</v>
      </c>
      <c r="P12" s="20">
        <v>4557.66</v>
      </c>
      <c r="Q12" s="20"/>
      <c r="R12" s="21">
        <f>SUM(Table4232[[#This Row],[Gasto devengado]:[Column11]])</f>
        <v>21301.859999999997</v>
      </c>
    </row>
    <row r="13" spans="1:30" ht="30.75" customHeight="1" x14ac:dyDescent="0.3">
      <c r="A13" s="16" t="s">
        <v>9</v>
      </c>
      <c r="B13" s="22">
        <v>1750000</v>
      </c>
      <c r="C13" s="22">
        <v>1000000</v>
      </c>
      <c r="D13" s="22">
        <f>+Table4232[[#This Row],[Columna1]]+Table4232[[#This Row],[Presupuesto Modificado]]</f>
        <v>2750000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>
        <v>135347.5</v>
      </c>
      <c r="N13" s="20">
        <v>0</v>
      </c>
      <c r="O13" s="20">
        <v>111035</v>
      </c>
      <c r="P13" s="20">
        <v>509700</v>
      </c>
      <c r="Q13" s="20"/>
      <c r="R13" s="21">
        <f>SUM(Table4232[[#This Row],[Gasto devengado]:[Column11]])</f>
        <v>1427530</v>
      </c>
    </row>
    <row r="14" spans="1:30" ht="30.75" customHeight="1" x14ac:dyDescent="0.3">
      <c r="A14" s="16" t="s">
        <v>10</v>
      </c>
      <c r="B14" s="22">
        <v>1145000</v>
      </c>
      <c r="C14" s="22">
        <v>-620000</v>
      </c>
      <c r="D14" s="22">
        <f>+Table4232[[#This Row],[Columna1]]+Table4232[[#This Row],[Presupuesto Modificado]]</f>
        <v>525000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>
        <v>1948.42</v>
      </c>
      <c r="M14" s="20">
        <v>11258.18</v>
      </c>
      <c r="N14" s="20">
        <f>+'[3]HOJA DE TRABAJO Ajustado'!$I$43</f>
        <v>2174.96</v>
      </c>
      <c r="O14" s="20">
        <v>14916.87</v>
      </c>
      <c r="P14" s="20">
        <v>6796.41</v>
      </c>
      <c r="Q14" s="20"/>
      <c r="R14" s="21">
        <f>SUM(Table4232[[#This Row],[Gasto devengado]:[Column11]])</f>
        <v>83340.039999999994</v>
      </c>
    </row>
    <row r="15" spans="1:30" ht="30.75" customHeight="1" x14ac:dyDescent="0.3">
      <c r="A15" s="16" t="s">
        <v>11</v>
      </c>
      <c r="B15" s="22">
        <v>220000</v>
      </c>
      <c r="C15" s="22"/>
      <c r="D15" s="22">
        <f>+Table4232[[#This Row],[Columna1]]+Table4232[[#This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>
        <v>0</v>
      </c>
      <c r="M15" s="20"/>
      <c r="N15" s="20"/>
      <c r="O15" s="20"/>
      <c r="P15" s="20"/>
      <c r="Q15" s="20"/>
      <c r="R15" s="21">
        <f>SUM(Table4232[[#This Row],[Gasto devengado]:[Column11]])</f>
        <v>3080</v>
      </c>
    </row>
    <row r="16" spans="1:30" ht="30.75" customHeight="1" x14ac:dyDescent="0.3">
      <c r="A16" s="16" t="s">
        <v>12</v>
      </c>
      <c r="B16" s="22">
        <v>1430000</v>
      </c>
      <c r="C16" s="22">
        <v>200000</v>
      </c>
      <c r="D16" s="22">
        <f>+Table4232[[#This Row],[Columna1]]+Table4232[[#This Row],[Presupuesto Modificado]]</f>
        <v>1630000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>
        <v>81627.600000000006</v>
      </c>
      <c r="M16" s="20">
        <v>87272.62</v>
      </c>
      <c r="N16" s="20">
        <f>+'[3]HOJA DE TRABAJO Ajustado'!$I$53</f>
        <v>86288.07</v>
      </c>
      <c r="O16" s="20">
        <v>86288.07</v>
      </c>
      <c r="P16" s="23">
        <v>217047.72</v>
      </c>
      <c r="Q16" s="20"/>
      <c r="R16" s="21">
        <f>SUM(Table4232[[#This Row],[Gasto devengado]:[Column11]])</f>
        <v>1419645.58</v>
      </c>
    </row>
    <row r="17" spans="1:18" ht="30.75" customHeight="1" x14ac:dyDescent="0.3">
      <c r="A17" s="16" t="s">
        <v>13</v>
      </c>
      <c r="B17" s="22">
        <v>1880000</v>
      </c>
      <c r="C17" s="22">
        <f>-200000+50000</f>
        <v>-150000</v>
      </c>
      <c r="D17" s="22">
        <f>+Table4232[[#This Row],[Columna1]]+Table4232[[#This Row],[Presupuesto Modificado]]</f>
        <v>1730000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>
        <v>103538.7</v>
      </c>
      <c r="M17" s="20">
        <v>50584.32</v>
      </c>
      <c r="N17" s="20">
        <f>+'[3]HOJA DE TRABAJO Ajustado'!$I$56</f>
        <v>66073.05</v>
      </c>
      <c r="O17" s="20">
        <v>81387.28</v>
      </c>
      <c r="P17" s="20">
        <v>110228.48</v>
      </c>
      <c r="Q17" s="20"/>
      <c r="R17" s="21">
        <f>SUM(Table4232[[#This Row],[Gasto devengado]:[Column11]])</f>
        <v>1181799.6499999999</v>
      </c>
    </row>
    <row r="18" spans="1:18" ht="30.75" customHeight="1" x14ac:dyDescent="0.3">
      <c r="A18" s="16" t="s">
        <v>14</v>
      </c>
      <c r="B18" s="22">
        <f>6971492+19390000</f>
        <v>26361492</v>
      </c>
      <c r="C18" s="22">
        <f>10700000-1650000</f>
        <v>9050000</v>
      </c>
      <c r="D18" s="22">
        <f>+Table4232[[#This Row],[Columna1]]+Table4232[[#This Row],[Presupuesto Modificado]]</f>
        <v>35411492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>
        <v>2047154.48</v>
      </c>
      <c r="M18" s="20">
        <v>2792633.9499999997</v>
      </c>
      <c r="N18" s="20">
        <f>+'[3]HOJA DE TRABAJO Ajustado'!$I$67</f>
        <v>1729022.02</v>
      </c>
      <c r="O18" s="20">
        <v>2332943.13</v>
      </c>
      <c r="P18" s="20">
        <v>2039767.71</v>
      </c>
      <c r="Q18" s="20"/>
      <c r="R18" s="21">
        <f>SUM(Table4232[[#This Row],[Gasto devengado]:[Column11]])</f>
        <v>30496626.199999999</v>
      </c>
    </row>
    <row r="19" spans="1:18" ht="30.75" customHeight="1" x14ac:dyDescent="0.3">
      <c r="A19" s="16" t="s">
        <v>35</v>
      </c>
      <c r="B19" s="22">
        <v>0</v>
      </c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11047000</v>
      </c>
      <c r="C20" s="21">
        <f t="shared" si="2"/>
        <v>680000</v>
      </c>
      <c r="D20" s="21">
        <f t="shared" si="2"/>
        <v>11727000</v>
      </c>
      <c r="E20" s="21">
        <f t="shared" si="2"/>
        <v>0</v>
      </c>
      <c r="F20" s="21">
        <f t="shared" si="2"/>
        <v>380339.62</v>
      </c>
      <c r="G20" s="21">
        <f>SUM(G21:G29)</f>
        <v>887268.86999999988</v>
      </c>
      <c r="H20" s="21">
        <f t="shared" si="2"/>
        <v>613264.72</v>
      </c>
      <c r="I20" s="21">
        <f t="shared" si="2"/>
        <v>871984.11</v>
      </c>
      <c r="J20" s="21">
        <f t="shared" si="2"/>
        <v>690438.57000000007</v>
      </c>
      <c r="K20" s="21">
        <f t="shared" si="2"/>
        <v>694660.30999999982</v>
      </c>
      <c r="L20" s="21">
        <f t="shared" si="2"/>
        <v>432349.29999999993</v>
      </c>
      <c r="M20" s="21">
        <f t="shared" si="2"/>
        <v>751092.84999999986</v>
      </c>
      <c r="N20" s="21">
        <f t="shared" si="2"/>
        <v>386016.25999999995</v>
      </c>
      <c r="O20" s="21">
        <f t="shared" si="2"/>
        <v>573903.04</v>
      </c>
      <c r="P20" s="21">
        <f t="shared" si="2"/>
        <v>753233.9800000001</v>
      </c>
      <c r="Q20" s="21">
        <f t="shared" si="2"/>
        <v>0</v>
      </c>
      <c r="R20" s="21">
        <f t="shared" si="2"/>
        <v>7034551.6299999999</v>
      </c>
    </row>
    <row r="21" spans="1:18" ht="30.75" customHeight="1" x14ac:dyDescent="0.3">
      <c r="A21" s="16" t="s">
        <v>16</v>
      </c>
      <c r="B21" s="22">
        <v>690000</v>
      </c>
      <c r="C21" s="22">
        <f>160000+20000</f>
        <v>180000</v>
      </c>
      <c r="D21" s="22">
        <f>+Table4232[[#This Row],[Columna1]]+Table4232[[#This Row],[Presupuesto Modificado]]</f>
        <v>870000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>
        <v>51258.270000000004</v>
      </c>
      <c r="M21" s="20">
        <v>45793.29</v>
      </c>
      <c r="N21" s="20">
        <f>+'[3]HOJA DE TRABAJO Ajustado'!$I$82</f>
        <v>37150.019999999997</v>
      </c>
      <c r="O21" s="20">
        <v>54834.11</v>
      </c>
      <c r="P21" s="20">
        <v>46119.07</v>
      </c>
      <c r="Q21" s="20"/>
      <c r="R21" s="21">
        <f>SUM(Table4232[[#This Row],[Gasto devengado]:[Column11]])</f>
        <v>588518.29999999993</v>
      </c>
    </row>
    <row r="22" spans="1:18" ht="30.75" customHeight="1" x14ac:dyDescent="0.3">
      <c r="A22" s="16" t="s">
        <v>17</v>
      </c>
      <c r="B22" s="22">
        <v>1690000</v>
      </c>
      <c r="C22" s="22">
        <f>-860000-450000</f>
        <v>-1310000</v>
      </c>
      <c r="D22" s="22">
        <f>+Table4232[[#This Row],[Columna1]]+Table4232[[#This Row],[Presupuesto Modificado]]</f>
        <v>380000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>
        <v>4043.06</v>
      </c>
      <c r="N22" s="20"/>
      <c r="O22" s="20"/>
      <c r="P22" s="20">
        <v>2203.38</v>
      </c>
      <c r="Q22" s="20"/>
      <c r="R22" s="21">
        <f>SUM(Table4232[[#This Row],[Gasto devengado]:[Column11]])</f>
        <v>56745.249999999993</v>
      </c>
    </row>
    <row r="23" spans="1:18" ht="30.75" customHeight="1" x14ac:dyDescent="0.3">
      <c r="A23" s="16" t="s">
        <v>18</v>
      </c>
      <c r="B23" s="22">
        <v>317000</v>
      </c>
      <c r="C23" s="22">
        <f>-100000+200000</f>
        <v>100000</v>
      </c>
      <c r="D23" s="22">
        <f>+Table4232[[#This Row],[Columna1]]+Table4232[[#This Row],[Presupuesto Modificado]]</f>
        <v>417000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>
        <v>107820.33</v>
      </c>
      <c r="N23" s="20">
        <f>+'[3]HOJA DE TRABAJO Ajustado'!$I$90</f>
        <v>1080.51</v>
      </c>
      <c r="O23" s="20">
        <v>70258.47</v>
      </c>
      <c r="P23" s="20">
        <v>68897.75</v>
      </c>
      <c r="Q23" s="20"/>
      <c r="R23" s="21">
        <f>SUM(Table4232[[#This Row],[Gasto devengado]:[Column11]])</f>
        <v>330943.84999999998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>
        <v>0</v>
      </c>
      <c r="N24" s="20">
        <f>+'[3]HOJA DE TRABAJO Ajustado'!$I$95</f>
        <v>2268.64</v>
      </c>
      <c r="O24" s="20"/>
      <c r="P24" s="20">
        <v>1417.01</v>
      </c>
      <c r="Q24" s="20"/>
      <c r="R24" s="21">
        <f>SUM(Table4232[[#This Row],[Gasto devengado]:[Column11]])</f>
        <v>9367.77</v>
      </c>
    </row>
    <row r="25" spans="1:18" ht="30.75" customHeight="1" x14ac:dyDescent="0.3">
      <c r="A25" s="16" t="s">
        <v>20</v>
      </c>
      <c r="B25" s="22">
        <v>285000</v>
      </c>
      <c r="C25" s="22">
        <f>60000+200000+50000</f>
        <v>310000</v>
      </c>
      <c r="D25" s="22">
        <f>+Table4232[[#This Row],[Columna1]]+Table4232[[#This Row],[Presupuesto Modificado]]</f>
        <v>595000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>
        <v>7889.49</v>
      </c>
      <c r="M25" s="20">
        <v>78495.59</v>
      </c>
      <c r="N25" s="20">
        <f>+'[3]HOJA DE TRABAJO Ajustado'!$I$96</f>
        <v>2634.85</v>
      </c>
      <c r="O25" s="20">
        <v>62322.07</v>
      </c>
      <c r="P25" s="20">
        <v>959.75</v>
      </c>
      <c r="Q25" s="20"/>
      <c r="R25" s="21">
        <f>SUM(Table4232[[#This Row],[Gasto devengado]:[Column11]])</f>
        <v>297489.07</v>
      </c>
    </row>
    <row r="26" spans="1:18" ht="30.75" customHeight="1" x14ac:dyDescent="0.3">
      <c r="A26" s="16" t="s">
        <v>21</v>
      </c>
      <c r="B26" s="22">
        <f>125000+155000</f>
        <v>280000</v>
      </c>
      <c r="C26" s="22">
        <f>20000+160000</f>
        <v>180000</v>
      </c>
      <c r="D26" s="22">
        <f>+Table4232[[#This Row],[Columna1]]+Table4232[[#This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>
        <v>6486.7800000000007</v>
      </c>
      <c r="M26" s="20"/>
      <c r="N26" s="20">
        <f>+'[3]HOJA DE TRABAJO Ajustado'!$I$101</f>
        <v>14039.630000000001</v>
      </c>
      <c r="O26" s="20">
        <v>10623.51</v>
      </c>
      <c r="P26" s="20">
        <v>2059.34</v>
      </c>
      <c r="Q26" s="20"/>
      <c r="R26" s="21">
        <f>SUM(Table4232[[#This Row],[Gasto devengado]:[Column11]])</f>
        <v>145625.68</v>
      </c>
    </row>
    <row r="27" spans="1:18" ht="30.75" customHeight="1" x14ac:dyDescent="0.3">
      <c r="A27" s="16" t="s">
        <v>22</v>
      </c>
      <c r="B27" s="22">
        <v>5150000</v>
      </c>
      <c r="C27" s="22">
        <f>850000+170000+315000</f>
        <v>1335000</v>
      </c>
      <c r="D27" s="22">
        <f>+Table4232[[#This Row],[Columna1]]+Table4232[[#This Row],[Presupuesto Modificado]]</f>
        <v>6485000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>
        <v>340839.01999999996</v>
      </c>
      <c r="M27" s="20">
        <v>407943.36999999994</v>
      </c>
      <c r="N27" s="20">
        <f>+'[3]HOJA DE TRABAJO Ajustado'!$I$110</f>
        <v>318712.94999999995</v>
      </c>
      <c r="O27" s="20">
        <v>357583.7</v>
      </c>
      <c r="P27" s="20">
        <v>423622.76</v>
      </c>
      <c r="Q27" s="20"/>
      <c r="R27" s="21">
        <f>SUM(Table4232[[#This Row],[Gasto devengado]:[Column11]])</f>
        <v>4126113.7</v>
      </c>
    </row>
    <row r="28" spans="1:18" ht="30.75" customHeight="1" x14ac:dyDescent="0.3">
      <c r="A28" s="16" t="s">
        <v>36</v>
      </c>
      <c r="B28" s="22">
        <v>0</v>
      </c>
      <c r="C28" s="22">
        <v>0</v>
      </c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2615000</v>
      </c>
      <c r="C29" s="22">
        <f>-315000+200000</f>
        <v>-115000</v>
      </c>
      <c r="D29" s="22">
        <f>+Table4232[[#This Row],[Columna1]]+Table4232[[#This Row],[Presupuesto Modificado]]</f>
        <v>2500000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>
        <v>25875.74</v>
      </c>
      <c r="M29" s="20">
        <f>+'[4]HOJA DE TRABAJO Ajustado'!$I$119</f>
        <v>106997.20999999999</v>
      </c>
      <c r="N29" s="20">
        <f>+'[3]HOJA DE TRABAJO Ajustado'!$I$119</f>
        <v>10129.66</v>
      </c>
      <c r="O29" s="20">
        <v>18281.18</v>
      </c>
      <c r="P29" s="20">
        <v>207954.92</v>
      </c>
      <c r="Q29" s="20"/>
      <c r="R29" s="21">
        <f>SUM(Table4232[[#This Row],[Gasto devengado]:[Column11]])</f>
        <v>1479748.0099999995</v>
      </c>
    </row>
    <row r="30" spans="1:18" ht="30.75" customHeight="1" x14ac:dyDescent="0.3">
      <c r="A30" s="15" t="s">
        <v>24</v>
      </c>
      <c r="B30" s="21">
        <f t="shared" ref="B30:R30" si="3">SUM(B31:B37)</f>
        <v>585000</v>
      </c>
      <c r="C30" s="21">
        <f t="shared" si="3"/>
        <v>-350000</v>
      </c>
      <c r="D30" s="21">
        <f t="shared" si="3"/>
        <v>235000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585000</v>
      </c>
      <c r="C31" s="22">
        <v>-350000</v>
      </c>
      <c r="D31" s="22">
        <f>+Table4232[[#This Row],[Columna1]]+Table4232[[#This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4600000</v>
      </c>
      <c r="C46" s="21">
        <f t="shared" si="5"/>
        <v>9000000</v>
      </c>
      <c r="D46" s="21">
        <f t="shared" si="5"/>
        <v>13600000</v>
      </c>
      <c r="E46" s="21">
        <f t="shared" si="5"/>
        <v>0</v>
      </c>
      <c r="F46" s="21">
        <f t="shared" si="5"/>
        <v>84268.800000000003</v>
      </c>
      <c r="G46" s="21">
        <f t="shared" si="5"/>
        <v>0</v>
      </c>
      <c r="H46" s="21">
        <f t="shared" si="5"/>
        <v>45200</v>
      </c>
      <c r="I46" s="21">
        <f t="shared" si="5"/>
        <v>0</v>
      </c>
      <c r="J46" s="21">
        <f t="shared" si="5"/>
        <v>243871.9</v>
      </c>
      <c r="K46" s="21">
        <f t="shared" si="5"/>
        <v>91300</v>
      </c>
      <c r="L46" s="21">
        <f t="shared" si="5"/>
        <v>0</v>
      </c>
      <c r="M46" s="21">
        <f t="shared" si="5"/>
        <v>386218.45</v>
      </c>
      <c r="N46" s="21">
        <f t="shared" si="5"/>
        <v>0</v>
      </c>
      <c r="O46" s="21">
        <f t="shared" si="5"/>
        <v>0</v>
      </c>
      <c r="P46" s="21">
        <f t="shared" si="5"/>
        <v>8775</v>
      </c>
      <c r="Q46" s="21">
        <f t="shared" si="5"/>
        <v>0</v>
      </c>
      <c r="R46" s="21">
        <f t="shared" si="5"/>
        <v>859634.15</v>
      </c>
    </row>
    <row r="47" spans="1:18" ht="30.75" customHeight="1" x14ac:dyDescent="0.3">
      <c r="A47" s="16" t="s">
        <v>28</v>
      </c>
      <c r="B47" s="22">
        <v>3155000</v>
      </c>
      <c r="C47" s="22">
        <v>3000000</v>
      </c>
      <c r="D47" s="22">
        <f>+Table4232[[#This Row],[Columna1]]+Table4232[[#This Row],[Presupuesto Modificado]]</f>
        <v>6155000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>
        <f>+'[4]HOJA DE TRABAJO Ajustado'!$I$126</f>
        <v>386218.45</v>
      </c>
      <c r="N47" s="20"/>
      <c r="O47" s="20"/>
      <c r="P47" s="20">
        <v>8775</v>
      </c>
      <c r="Q47" s="20"/>
      <c r="R47" s="21">
        <f>SUM(Table4232[[#This Row],[Gasto devengado]:[Column11]])</f>
        <v>859634.15</v>
      </c>
    </row>
    <row r="48" spans="1:18" ht="30.75" customHeight="1" x14ac:dyDescent="0.3">
      <c r="A48" s="16" t="s">
        <v>29</v>
      </c>
      <c r="B48" s="22">
        <v>150000</v>
      </c>
      <c r="C48" s="22"/>
      <c r="D48" s="22">
        <f>+Table4232[[#This Row],[Columna1]]+Table4232[[#This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>
        <v>0</v>
      </c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750000</v>
      </c>
      <c r="C50" s="22">
        <v>6000000</v>
      </c>
      <c r="D50" s="22">
        <f>+Table4232[[#This Row],[Columna1]]+Table4232[[#This Row],[Presupuesto Modificado]]</f>
        <v>6750000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 x14ac:dyDescent="0.3">
      <c r="A51" s="16" t="s">
        <v>32</v>
      </c>
      <c r="B51" s="22">
        <v>545000</v>
      </c>
      <c r="C51" s="22"/>
      <c r="D51" s="22">
        <f>+Table4232[[#This Row],[Columna1]]+Table4232[[#This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 x14ac:dyDescent="0.3">
      <c r="A52" s="16" t="s">
        <v>50</v>
      </c>
      <c r="B52" s="22">
        <v>0</v>
      </c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>
        <v>0</v>
      </c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0</v>
      </c>
      <c r="C54" s="22"/>
      <c r="D54" s="22">
        <f>+Table4232[[#This Row],[Columna1]]+Table4232[[#This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 x14ac:dyDescent="0.3">
      <c r="A55" s="16" t="s">
        <v>52</v>
      </c>
      <c r="B55" s="22">
        <v>0</v>
      </c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21230371</v>
      </c>
      <c r="C56" s="21">
        <f t="shared" si="6"/>
        <v>8200000</v>
      </c>
      <c r="D56" s="21">
        <f t="shared" si="6"/>
        <v>29430371</v>
      </c>
      <c r="E56" s="21">
        <f t="shared" si="6"/>
        <v>0</v>
      </c>
      <c r="F56" s="21">
        <f t="shared" si="6"/>
        <v>0</v>
      </c>
      <c r="G56" s="21">
        <f t="shared" si="6"/>
        <v>0</v>
      </c>
      <c r="H56" s="21">
        <f t="shared" si="6"/>
        <v>4137756.55</v>
      </c>
      <c r="I56" s="21">
        <f t="shared" si="6"/>
        <v>0</v>
      </c>
      <c r="J56" s="21">
        <f t="shared" si="6"/>
        <v>0</v>
      </c>
      <c r="K56" s="21">
        <f t="shared" si="6"/>
        <v>6007297.5300000003</v>
      </c>
      <c r="L56" s="21">
        <f t="shared" si="6"/>
        <v>0</v>
      </c>
      <c r="M56" s="21">
        <f t="shared" si="6"/>
        <v>6230861.3600000003</v>
      </c>
      <c r="N56" s="21">
        <f t="shared" si="6"/>
        <v>698513.33</v>
      </c>
      <c r="O56" s="21">
        <f t="shared" si="6"/>
        <v>0</v>
      </c>
      <c r="P56" s="21">
        <f t="shared" si="6"/>
        <v>2696008.82</v>
      </c>
      <c r="Q56" s="21">
        <f t="shared" si="6"/>
        <v>0</v>
      </c>
      <c r="R56" s="21">
        <f t="shared" si="6"/>
        <v>19770437.59</v>
      </c>
    </row>
    <row r="57" spans="1:18" ht="30.75" customHeight="1" x14ac:dyDescent="0.3">
      <c r="A57" s="16" t="s">
        <v>54</v>
      </c>
      <c r="B57" s="22">
        <v>21230371</v>
      </c>
      <c r="C57" s="22">
        <v>8200000</v>
      </c>
      <c r="D57" s="22">
        <f>+Table4232[[#This Row],[Columna1]]+Table4232[[#This Row],[Presupuesto Modificado]]</f>
        <v>29430371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>
        <v>6230861.3600000003</v>
      </c>
      <c r="N57" s="20">
        <f>+'[3]HOJA DE TRABAJO Ajustado'!$I$144</f>
        <v>698513.33</v>
      </c>
      <c r="O57" s="20"/>
      <c r="P57" s="20">
        <v>2696008.82</v>
      </c>
      <c r="Q57" s="20"/>
      <c r="R57" s="21">
        <f>SUM(Table4232[[#This Row],[Gasto devengado]:[Column11]])</f>
        <v>19770437.59</v>
      </c>
    </row>
    <row r="58" spans="1:18" ht="30.75" customHeight="1" x14ac:dyDescent="0.3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170838127</v>
      </c>
      <c r="C77" s="24">
        <f>+C56+C46+C30+C20+C10+C4</f>
        <v>27500000</v>
      </c>
      <c r="D77" s="24">
        <f>+D56+D46+D30+D20+D10+D4</f>
        <v>198338127</v>
      </c>
      <c r="E77" s="24">
        <f>+E56+E46+E30+E20+E10+E4</f>
        <v>0</v>
      </c>
      <c r="F77" s="24">
        <f>+F68+F64+F61+F55+F46++F38+F30+F20++F10+F4</f>
        <v>10767394.52</v>
      </c>
      <c r="G77" s="24">
        <f t="shared" ref="G77:N77" si="19">+G68+G64+G61+G56+G46+G38+G30+G20+G10+G4</f>
        <v>14144729.629999999</v>
      </c>
      <c r="H77" s="24">
        <f t="shared" si="19"/>
        <v>14055994.189999998</v>
      </c>
      <c r="I77" s="24">
        <f t="shared" si="19"/>
        <v>12592959.110000001</v>
      </c>
      <c r="J77" s="24">
        <f t="shared" si="19"/>
        <v>10255356.870000001</v>
      </c>
      <c r="K77" s="24">
        <f t="shared" si="19"/>
        <v>15974048.27</v>
      </c>
      <c r="L77" s="24">
        <f t="shared" si="19"/>
        <v>12191856.099999998</v>
      </c>
      <c r="M77" s="24">
        <f t="shared" si="19"/>
        <v>16926230.66</v>
      </c>
      <c r="N77" s="24">
        <f t="shared" si="19"/>
        <v>9197032.870000001</v>
      </c>
      <c r="O77" s="24">
        <f>O46+O20+O10+O4+O68</f>
        <v>13190288.35</v>
      </c>
      <c r="P77" s="24">
        <f>+P68+P64+P61+P56+P46+P38+P30+P20+P10+P4</f>
        <v>12371933.210000001</v>
      </c>
      <c r="Q77" s="24">
        <f>+Q4+Q10+Q20+Q38+Q46+Q56+Q61+Q64+Q68+Q72+Q75</f>
        <v>0</v>
      </c>
      <c r="R77" s="24">
        <f>+R68+R61+R56+R46+R38+R30+R20+R10+R4</f>
        <v>141667823.77999997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2023-12-14T19:17:19Z</cp:lastPrinted>
  <dcterms:created xsi:type="dcterms:W3CDTF">2018-04-17T18:57:16Z</dcterms:created>
  <dcterms:modified xsi:type="dcterms:W3CDTF">2023-12-14T19:17:47Z</dcterms:modified>
</cp:coreProperties>
</file>